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0.3\redirection\mkaczmarek\Desktop\Poznańska Szkoła Chóralna\2. SIWZ+ załączniki\"/>
    </mc:Choice>
  </mc:AlternateContent>
  <xr:revisionPtr revIDLastSave="0" documentId="8_{0F78AE4D-040A-4426-8739-CCD01FEF41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121 tabela etapów " sheetId="1" r:id="rId1"/>
    <sheet name="Arkusz1" sheetId="2" r:id="rId2"/>
  </sheets>
  <definedNames>
    <definedName name="_Hlk25567051" localSheetId="0">'P121 tabela etapów '!$B$16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13" i="1"/>
  <c r="G18" i="1"/>
  <c r="G19" i="1"/>
  <c r="E19" i="1"/>
  <c r="E18" i="1"/>
  <c r="G14" i="1"/>
  <c r="G15" i="1"/>
  <c r="E14" i="1"/>
  <c r="E15" i="1"/>
  <c r="H12" i="1" l="1"/>
  <c r="G12" i="1"/>
  <c r="G16" i="1"/>
  <c r="G20" i="1"/>
  <c r="G22" i="1"/>
  <c r="G23" i="1"/>
  <c r="G24" i="1"/>
  <c r="E12" i="1"/>
  <c r="E13" i="1"/>
  <c r="E16" i="1"/>
  <c r="E17" i="1"/>
  <c r="G17" i="1" s="1"/>
  <c r="E20" i="1"/>
  <c r="E21" i="1"/>
  <c r="E22" i="1"/>
  <c r="E23" i="1"/>
  <c r="E24" i="1"/>
  <c r="E11" i="1"/>
  <c r="G13" i="1" l="1"/>
  <c r="G21" i="1"/>
  <c r="D25" i="1" l="1"/>
  <c r="G11" i="1" l="1"/>
  <c r="H11" i="1" s="1"/>
  <c r="K57" i="2"/>
  <c r="K56" i="2"/>
  <c r="K42" i="2"/>
  <c r="K41" i="2"/>
  <c r="K51" i="2"/>
  <c r="K36" i="2"/>
  <c r="K52" i="2"/>
  <c r="K54" i="2"/>
  <c r="K50" i="2"/>
  <c r="K53" i="2"/>
  <c r="K49" i="2"/>
  <c r="K35" i="2"/>
  <c r="K37" i="2"/>
  <c r="N40" i="2"/>
  <c r="K55" i="2" s="1"/>
  <c r="K39" i="2"/>
  <c r="K33" i="2"/>
  <c r="K38" i="2"/>
  <c r="K58" i="2"/>
  <c r="K44" i="2"/>
  <c r="K31" i="2"/>
  <c r="K30" i="2"/>
  <c r="K59" i="2"/>
  <c r="K47" i="2"/>
  <c r="K62" i="2"/>
  <c r="K61" i="2" s="1"/>
  <c r="K40" i="2" l="1"/>
  <c r="K13" i="2"/>
  <c r="K12" i="2"/>
  <c r="K24" i="2"/>
  <c r="K23" i="2"/>
  <c r="K25" i="2"/>
  <c r="K22" i="2"/>
  <c r="K21" i="2"/>
  <c r="K17" i="2"/>
  <c r="K15" i="2"/>
  <c r="H5" i="2"/>
  <c r="H6" i="2"/>
  <c r="H7" i="2"/>
  <c r="H8" i="2"/>
  <c r="H4" i="2"/>
  <c r="G9" i="2"/>
  <c r="I7" i="2" s="1"/>
  <c r="H9" i="2" l="1"/>
  <c r="L12" i="2" s="1"/>
  <c r="K11" i="2"/>
  <c r="I6" i="2"/>
  <c r="I4" i="2"/>
  <c r="I5" i="2"/>
  <c r="I8" i="2"/>
  <c r="L25" i="2" l="1"/>
  <c r="L15" i="2"/>
  <c r="L21" i="2"/>
  <c r="L23" i="2"/>
  <c r="L22" i="2"/>
  <c r="L17" i="2"/>
  <c r="L63" i="2"/>
  <c r="L53" i="2"/>
  <c r="L43" i="2"/>
  <c r="L35" i="2"/>
  <c r="L14" i="2"/>
  <c r="L62" i="2"/>
  <c r="L52" i="2"/>
  <c r="L42" i="2"/>
  <c r="L34" i="2"/>
  <c r="L20" i="2"/>
  <c r="L16" i="2"/>
  <c r="L18" i="2"/>
  <c r="L26" i="2"/>
  <c r="L56" i="2"/>
  <c r="L48" i="2"/>
  <c r="L38" i="2"/>
  <c r="L30" i="2"/>
  <c r="L19" i="2"/>
  <c r="L37" i="2"/>
  <c r="L32" i="2"/>
  <c r="L31" i="2"/>
  <c r="L29" i="2"/>
  <c r="L54" i="2"/>
  <c r="L51" i="2"/>
  <c r="L36" i="2"/>
  <c r="L44" i="2"/>
  <c r="L39" i="2"/>
  <c r="L49" i="2"/>
  <c r="L58" i="2"/>
  <c r="L57" i="2"/>
  <c r="L41" i="2"/>
  <c r="L59" i="2"/>
  <c r="L47" i="2"/>
  <c r="L50" i="2"/>
  <c r="L33" i="2"/>
  <c r="L55" i="2"/>
  <c r="L40" i="2"/>
  <c r="L24" i="2"/>
  <c r="L13" i="2"/>
  <c r="I9" i="2"/>
  <c r="L46" i="2" l="1"/>
  <c r="L11" i="2"/>
  <c r="L28" i="2"/>
  <c r="L61" i="2"/>
  <c r="G25" i="1" l="1"/>
</calcChain>
</file>

<file path=xl/sharedStrings.xml><?xml version="1.0" encoding="utf-8"?>
<sst xmlns="http://schemas.openxmlformats.org/spreadsheetml/2006/main" count="120" uniqueCount="108">
  <si>
    <t>NAZWA INWESTYCJI</t>
  </si>
  <si>
    <t>LOKALIZACJA</t>
  </si>
  <si>
    <t>INWESTOR</t>
  </si>
  <si>
    <t>MIASTO POZNAŃ, PLAC KOLEGIACKI 17, 61-841 POZNAŃ</t>
  </si>
  <si>
    <t>INWESTOR ZASTĘPCZY</t>
  </si>
  <si>
    <t>POZNAŃSKIE INWESTYCJE MIEJSKIE Sp. z o.o., PLAC WIOSNY LUDÓW 2, 61-831 POZNAŃ</t>
  </si>
  <si>
    <t>NR ETAPU</t>
  </si>
  <si>
    <t>NAZWA ETAPU ROZLICZENIOWEGO ROBÓT</t>
  </si>
  <si>
    <t>ZAKRES WYCENIANYCH ROBÓT
 ODNIESIONY DO STWiOR</t>
  </si>
  <si>
    <t>Kwota netto PLN</t>
  </si>
  <si>
    <t>Podatek VAT</t>
  </si>
  <si>
    <t>Kwota brutto PLN</t>
  </si>
  <si>
    <t>ETAP 3</t>
  </si>
  <si>
    <t>ETAP 6</t>
  </si>
  <si>
    <t>PIĘTRO STROP + ŚCIANY</t>
  </si>
  <si>
    <t>STOLARKA ZEWNĘTRZNA</t>
  </si>
  <si>
    <t>PRACE WYKOŃCZENIOWE WEWNĘTRZNE - posadzki</t>
  </si>
  <si>
    <t>PRACE WYKOŃCZENIOWE WEWNĘTRZNE - sufity, ściany, tynki, malowania</t>
  </si>
  <si>
    <t xml:space="preserve">PRACE WYKOŃCZENIOWE WEWNĘTRZNE - stolarka wewnętrzna, ślusarka, </t>
  </si>
  <si>
    <t>INSTALACJE ELEKTRYCZNE</t>
  </si>
  <si>
    <t>INSTALACJE TELETECHNICZNE</t>
  </si>
  <si>
    <t>SIECI ZEWNĘTRZNE</t>
  </si>
  <si>
    <t>WYPOSAŻENIE</t>
  </si>
  <si>
    <t>RAZEM</t>
  </si>
  <si>
    <t>Uwaga</t>
  </si>
  <si>
    <t>2. Pozostałe wartości tabeli przeliczą się automatycznie</t>
  </si>
  <si>
    <t>stawka VAT</t>
  </si>
  <si>
    <t>ŚCIANY FUNDAMENTOWE + izolacje + zasyp</t>
  </si>
  <si>
    <t>Rozbiórki i remont budynku gospodarczego</t>
  </si>
  <si>
    <t>ROBOTY ZIEMNE -WYKOP POD FUNDAMENT, fundament, sciany, izolacje i zasyp</t>
  </si>
  <si>
    <t>ELEWACJE, TARASY</t>
  </si>
  <si>
    <t>ZAGOSPODAROWANIE TERENU, w tym zieleń</t>
  </si>
  <si>
    <t>DOKUMENTACJA POWYKONAWCZA, ODBIORY, UZYSKANIE POZWOLENIA NA UŻYTKOWANIE</t>
  </si>
  <si>
    <t>Taras edukacyjny</t>
  </si>
  <si>
    <t>Plac zabawa</t>
  </si>
  <si>
    <t>ARCH</t>
  </si>
  <si>
    <t>SANIT</t>
  </si>
  <si>
    <t>ELEK</t>
  </si>
  <si>
    <t>NP.</t>
  </si>
  <si>
    <t>ZEWNĘTRZNE</t>
  </si>
  <si>
    <t>%</t>
  </si>
  <si>
    <t>WOD KAN NOW</t>
  </si>
  <si>
    <t>GAZ</t>
  </si>
  <si>
    <t>WOD KAN STAR</t>
  </si>
  <si>
    <t>KOTŁOWNIA</t>
  </si>
  <si>
    <t>CO STAR</t>
  </si>
  <si>
    <t>CO NOW</t>
  </si>
  <si>
    <t xml:space="preserve">BIAŁY MONTAŻ </t>
  </si>
  <si>
    <t>WENTYL NOW</t>
  </si>
  <si>
    <t>WENTYL STAR</t>
  </si>
  <si>
    <t>CENTRALE NOW</t>
  </si>
  <si>
    <t>CENTRALE STAR</t>
  </si>
  <si>
    <t>DODATKOWE</t>
  </si>
  <si>
    <t>SUMA</t>
  </si>
  <si>
    <t>BRUTTO</t>
  </si>
  <si>
    <t>NETTO</t>
  </si>
  <si>
    <t>ZEWN WYKOŃCZENIOWE</t>
  </si>
  <si>
    <t>DEMONT I PRZENIESIENIE KOTL</t>
  </si>
  <si>
    <t>ROZBUDOWA</t>
  </si>
  <si>
    <t>PRZEBUDOWA</t>
  </si>
  <si>
    <t>ROZBIÓRKI</t>
  </si>
  <si>
    <t>Rozbiórki elementów przedszkola</t>
  </si>
  <si>
    <t xml:space="preserve">ROBOTY ZIEMNE </t>
  </si>
  <si>
    <t>FUNDAMENTY, ŚCIANY FUNDAMENTOWE wraz z IZOLACJĄ</t>
  </si>
  <si>
    <t xml:space="preserve">ŚCIANY I STROPY, NADPROŻA, SCHODY ŻELBETOWE </t>
  </si>
  <si>
    <t>DACH GŁOWNY - pokrycie, obróbki blacharskie,odwodnienie</t>
  </si>
  <si>
    <t>ELEWACJE, TARASY, BALKONY, SCHODY ZEWNĘTRZNE</t>
  </si>
  <si>
    <t>ŚCIANY,  ELEMENTY ŻELBETOWE</t>
  </si>
  <si>
    <t xml:space="preserve">1. Wykonawca wypełnia pola oznaczone kolorem żółtym 
- pole "razem kwota netto"   </t>
  </si>
  <si>
    <t xml:space="preserve">Wskaźnik % </t>
  </si>
  <si>
    <t>ROZBUDOWA + BUDOWA</t>
  </si>
  <si>
    <t xml:space="preserve">Poznańska Szkoła Chóralna Jerzego Kurczewskiego - modernizacja obiektu </t>
  </si>
  <si>
    <t xml:space="preserve">POZNAŃ uL Cegielskiego 1  </t>
  </si>
  <si>
    <t>ETAP 1</t>
  </si>
  <si>
    <t>ETAP 2</t>
  </si>
  <si>
    <t>Wykonanie tynków i podkładów pod posadzki</t>
  </si>
  <si>
    <t xml:space="preserve">Montaz stolarki i slusarki + wykonanie czerpni </t>
  </si>
  <si>
    <t xml:space="preserve">Roboty rozbiórkowe + murowe </t>
  </si>
  <si>
    <t xml:space="preserve">Wykonanie zabudów do wentylacji na poszczególnych pietrach </t>
  </si>
  <si>
    <t xml:space="preserve">Wykonanie instalacji wod-kan, co i gaz </t>
  </si>
  <si>
    <t xml:space="preserve">Wykonanie białego montażu </t>
  </si>
  <si>
    <t xml:space="preserve">Wykonanie instalacji elektrycznej </t>
  </si>
  <si>
    <t>Etap 5</t>
  </si>
  <si>
    <r>
      <t>Tabela Etapów Rozliczeniowych 	"</t>
    </r>
    <r>
      <rPr>
        <b/>
        <i/>
        <sz val="20"/>
        <color rgb="FF000000"/>
        <rFont val="Arial Narrow"/>
        <family val="2"/>
        <charset val="238"/>
      </rPr>
      <t xml:space="preserve">modernizacja przyziemia etap II wraz z wykonaniem wentylacji mechanicznej " </t>
    </r>
    <r>
      <rPr>
        <b/>
        <sz val="20"/>
        <color rgb="FF000000"/>
        <rFont val="Arial Narrow"/>
        <family val="2"/>
        <charset val="238"/>
      </rPr>
      <t xml:space="preserve"> Załącznik nr … do Oferty</t>
    </r>
  </si>
  <si>
    <t>SST 01.03, SST 01.09</t>
  </si>
  <si>
    <t xml:space="preserve">SST 01.06, SST 01.10 </t>
  </si>
  <si>
    <t>SST 01.09, SST 01.13 SST 01.12, SST 01.11</t>
  </si>
  <si>
    <t>SST 01.01,SST 01.02 , SST 01.06</t>
  </si>
  <si>
    <t>ST 02.05</t>
  </si>
  <si>
    <t>SST 01.09</t>
  </si>
  <si>
    <t>ST 02.01, ST 02.02, ST 02.03, ST 02.04, ST 02.05</t>
  </si>
  <si>
    <t>ST 02.03</t>
  </si>
  <si>
    <t>E 01_00_00</t>
  </si>
  <si>
    <t>Etap 4</t>
  </si>
  <si>
    <t>Montaz sufitów , wykonanie posadzek, prac malarskich, ułozenie płytek sciennych i posadzkowych  33%</t>
  </si>
  <si>
    <t>Montaz sufitów , wykonanie posadzek, prac malarskich, ułozenie płytek sciennych i posadzkowych 66%</t>
  </si>
  <si>
    <t>Montaz sufitów , wykonanie posadzek, prac malarskich, ułozenie płytek sciennych i posadzkowych 100%</t>
  </si>
  <si>
    <t>Wykonanie instalacji wentylacji    - 33%</t>
  </si>
  <si>
    <t>Wykonanie instalacji wentylacji    - 66%</t>
  </si>
  <si>
    <t>Wykonanie instalacji wentylacji    - 100%</t>
  </si>
  <si>
    <t>Etap 7</t>
  </si>
  <si>
    <t>Etap 8</t>
  </si>
  <si>
    <t>Etap 9</t>
  </si>
  <si>
    <t>Etap 10</t>
  </si>
  <si>
    <t>Etap 11</t>
  </si>
  <si>
    <t>Etap 12</t>
  </si>
  <si>
    <t>Etap 13</t>
  </si>
  <si>
    <t>Etap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</si>
</sst>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z_ł_ ;_ * \(#,##0.00\)\ _z_ł_ ;_ * &quot;-&quot;??_)\ _z_ł_ ;_ @_ "/>
  </numFmts>
  <fonts count="18">
    <font>
      <sz val="10"/>
      <color rgb="FF000000"/>
      <name val="Times New Roman"/>
      <family val="1"/>
      <charset val="204"/>
    </font>
    <font>
      <sz val="11"/>
      <color indexed="8"/>
      <name val="Czcionka tekstu podstawowego"/>
      <family val="2"/>
      <charset val="238"/>
    </font>
    <font>
      <b/>
      <sz val="2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Narrow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</font>
    <font>
      <sz val="10"/>
      <color rgb="FFFF0000"/>
      <name val="Arial Narrow"/>
      <family val="2"/>
      <charset val="238"/>
    </font>
    <font>
      <sz val="8"/>
      <name val="Times New Roman"/>
      <family val="1"/>
      <charset val="204"/>
    </font>
    <font>
      <b/>
      <i/>
      <sz val="2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10" fontId="0" fillId="0" borderId="17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0" fontId="0" fillId="0" borderId="16" xfId="0" applyNumberFormat="1" applyBorder="1" applyAlignment="1">
      <alignment horizontal="center" vertical="center"/>
    </xf>
    <xf numFmtId="4" fontId="6" fillId="0" borderId="16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10" fontId="0" fillId="0" borderId="14" xfId="0" applyNumberFormat="1" applyBorder="1" applyAlignment="1">
      <alignment horizontal="center" vertical="center"/>
    </xf>
    <xf numFmtId="10" fontId="3" fillId="0" borderId="18" xfId="0" applyNumberFormat="1" applyFont="1" applyBorder="1" applyAlignment="1">
      <alignment horizontal="center" vertical="center"/>
    </xf>
    <xf numFmtId="4" fontId="8" fillId="3" borderId="19" xfId="0" applyNumberFormat="1" applyFont="1" applyFill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10" fontId="6" fillId="0" borderId="1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3" fontId="0" fillId="0" borderId="0" xfId="0" applyNumberFormat="1"/>
    <xf numFmtId="10" fontId="0" fillId="0" borderId="0" xfId="0" applyNumberFormat="1"/>
    <xf numFmtId="10" fontId="9" fillId="0" borderId="0" xfId="0" applyNumberFormat="1" applyFont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/>
    </xf>
    <xf numFmtId="3" fontId="13" fillId="0" borderId="0" xfId="0" applyNumberFormat="1" applyFont="1"/>
    <xf numFmtId="0" fontId="5" fillId="0" borderId="17" xfId="0" applyFont="1" applyFill="1" applyBorder="1" applyAlignment="1">
      <alignment vertical="center" wrapText="1"/>
    </xf>
    <xf numFmtId="3" fontId="14" fillId="0" borderId="0" xfId="0" applyNumberFormat="1" applyFont="1"/>
    <xf numFmtId="4" fontId="0" fillId="0" borderId="0" xfId="0" applyNumberFormat="1"/>
    <xf numFmtId="10" fontId="0" fillId="0" borderId="0" xfId="0" applyNumberFormat="1" applyAlignment="1">
      <alignment vertical="center" wrapText="1"/>
    </xf>
    <xf numFmtId="10" fontId="14" fillId="0" borderId="0" xfId="0" applyNumberFormat="1" applyFont="1"/>
    <xf numFmtId="0" fontId="0" fillId="0" borderId="7" xfId="0" applyBorder="1"/>
    <xf numFmtId="4" fontId="0" fillId="0" borderId="7" xfId="0" applyNumberFormat="1" applyBorder="1"/>
    <xf numFmtId="10" fontId="0" fillId="0" borderId="7" xfId="0" applyNumberFormat="1" applyBorder="1"/>
    <xf numFmtId="0" fontId="14" fillId="0" borderId="0" xfId="0" applyFont="1"/>
    <xf numFmtId="4" fontId="14" fillId="0" borderId="0" xfId="0" applyNumberFormat="1" applyFont="1"/>
    <xf numFmtId="9" fontId="14" fillId="0" borderId="0" xfId="0" applyNumberFormat="1" applyFont="1"/>
    <xf numFmtId="0" fontId="15" fillId="0" borderId="17" xfId="0" applyFont="1" applyBorder="1" applyAlignment="1">
      <alignment vertical="center"/>
    </xf>
    <xf numFmtId="164" fontId="0" fillId="0" borderId="0" xfId="2" applyFont="1"/>
    <xf numFmtId="0" fontId="15" fillId="0" borderId="17" xfId="0" applyFont="1" applyFill="1" applyBorder="1" applyAlignment="1">
      <alignment vertical="center"/>
    </xf>
    <xf numFmtId="4" fontId="10" fillId="4" borderId="0" xfId="0" applyNumberFormat="1" applyFont="1" applyFill="1"/>
    <xf numFmtId="4" fontId="0" fillId="4" borderId="0" xfId="0" applyNumberFormat="1" applyFill="1"/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</cellXfs>
  <cellStyles count="3">
    <cellStyle name="Dziesiętny" xfId="2" builtinId="3"/>
    <cellStyle name="Excel Built-in Explanatory Text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B1" zoomScale="80" zoomScaleNormal="80" zoomScaleSheetLayoutView="70" workbookViewId="0">
      <selection activeCell="H28" sqref="H28"/>
    </sheetView>
  </sheetViews>
  <sheetFormatPr defaultColWidth="9.33203125" defaultRowHeight="12.75"/>
  <cols>
    <col min="1" max="1" width="13.33203125" style="1" customWidth="1"/>
    <col min="2" max="2" width="85.83203125" style="1" customWidth="1"/>
    <col min="3" max="3" width="71.33203125" style="9" customWidth="1"/>
    <col min="4" max="4" width="17.33203125" style="9" customWidth="1"/>
    <col min="5" max="5" width="22.83203125" style="1" customWidth="1"/>
    <col min="6" max="6" width="15.6640625" style="1" customWidth="1"/>
    <col min="7" max="7" width="19.5" style="1" customWidth="1"/>
    <col min="8" max="8" width="25.83203125" style="1" customWidth="1"/>
    <col min="9" max="16384" width="9.33203125" style="1"/>
  </cols>
  <sheetData>
    <row r="1" spans="1:8" ht="13.35" customHeight="1">
      <c r="A1" s="68" t="s">
        <v>83</v>
      </c>
      <c r="B1" s="69"/>
      <c r="C1" s="69"/>
      <c r="D1" s="69"/>
      <c r="E1" s="69"/>
      <c r="F1" s="69"/>
      <c r="G1" s="69"/>
      <c r="H1" s="70"/>
    </row>
    <row r="2" spans="1:8" ht="13.35" customHeight="1">
      <c r="A2" s="71"/>
      <c r="B2" s="72"/>
      <c r="C2" s="72"/>
      <c r="D2" s="72"/>
      <c r="E2" s="72"/>
      <c r="F2" s="72"/>
      <c r="G2" s="72"/>
      <c r="H2" s="73"/>
    </row>
    <row r="3" spans="1:8" ht="28.5" customHeight="1">
      <c r="A3" s="74"/>
      <c r="B3" s="75"/>
      <c r="C3" s="75"/>
      <c r="D3" s="75"/>
      <c r="E3" s="75"/>
      <c r="F3" s="75"/>
      <c r="G3" s="75"/>
      <c r="H3" s="76"/>
    </row>
    <row r="4" spans="1:8" ht="23.25" customHeight="1">
      <c r="A4" s="80" t="s">
        <v>0</v>
      </c>
      <c r="B4" s="81"/>
      <c r="C4" s="60" t="s">
        <v>71</v>
      </c>
      <c r="D4" s="61"/>
      <c r="E4" s="61"/>
      <c r="F4" s="61"/>
      <c r="G4" s="61"/>
      <c r="H4" s="62"/>
    </row>
    <row r="5" spans="1:8" ht="20.25" customHeight="1">
      <c r="A5" s="80" t="s">
        <v>1</v>
      </c>
      <c r="B5" s="81"/>
      <c r="C5" s="77" t="s">
        <v>72</v>
      </c>
      <c r="D5" s="78"/>
      <c r="E5" s="78"/>
      <c r="F5" s="78"/>
      <c r="G5" s="78"/>
      <c r="H5" s="79"/>
    </row>
    <row r="6" spans="1:8" ht="20.25" customHeight="1">
      <c r="A6" s="50" t="s">
        <v>2</v>
      </c>
      <c r="B6" s="51"/>
      <c r="C6" s="60" t="s">
        <v>3</v>
      </c>
      <c r="D6" s="61"/>
      <c r="E6" s="61"/>
      <c r="F6" s="61"/>
      <c r="G6" s="61"/>
      <c r="H6" s="62"/>
    </row>
    <row r="7" spans="1:8" ht="31.5" customHeight="1">
      <c r="A7" s="50" t="s">
        <v>4</v>
      </c>
      <c r="B7" s="51"/>
      <c r="C7" s="60" t="s">
        <v>5</v>
      </c>
      <c r="D7" s="61"/>
      <c r="E7" s="61"/>
      <c r="F7" s="61"/>
      <c r="G7" s="61"/>
      <c r="H7" s="62"/>
    </row>
    <row r="8" spans="1:8" ht="19.5" customHeight="1">
      <c r="A8" s="52" t="s">
        <v>6</v>
      </c>
      <c r="B8" s="54" t="s">
        <v>7</v>
      </c>
      <c r="C8" s="56" t="s">
        <v>8</v>
      </c>
      <c r="D8" s="2"/>
      <c r="E8" s="58"/>
      <c r="F8" s="58"/>
      <c r="G8" s="58"/>
      <c r="H8" s="59"/>
    </row>
    <row r="9" spans="1:8" ht="20.25" customHeight="1" thickBot="1">
      <c r="A9" s="53"/>
      <c r="B9" s="55"/>
      <c r="C9" s="57"/>
      <c r="D9" s="26" t="s">
        <v>69</v>
      </c>
      <c r="E9" s="25" t="s">
        <v>9</v>
      </c>
      <c r="F9" s="18" t="s">
        <v>26</v>
      </c>
      <c r="G9" s="18" t="s">
        <v>10</v>
      </c>
      <c r="H9" s="19" t="s">
        <v>11</v>
      </c>
    </row>
    <row r="10" spans="1:8" ht="18" customHeight="1" thickBot="1">
      <c r="A10" s="63" t="s">
        <v>70</v>
      </c>
      <c r="B10" s="64"/>
      <c r="C10" s="64"/>
      <c r="D10" s="64"/>
      <c r="E10" s="64"/>
      <c r="F10" s="64"/>
      <c r="G10" s="64"/>
      <c r="H10" s="65"/>
    </row>
    <row r="11" spans="1:8" ht="30" customHeight="1">
      <c r="A11" s="20" t="s">
        <v>73</v>
      </c>
      <c r="B11" s="3" t="s">
        <v>77</v>
      </c>
      <c r="C11" s="6" t="s">
        <v>87</v>
      </c>
      <c r="D11" s="10">
        <v>0.08</v>
      </c>
      <c r="E11" s="11">
        <f>D11*$E$25</f>
        <v>0</v>
      </c>
      <c r="F11" s="17">
        <v>0.23</v>
      </c>
      <c r="G11" s="11">
        <f>E11*F11</f>
        <v>0</v>
      </c>
      <c r="H11" s="11">
        <f>E11+G11</f>
        <v>0</v>
      </c>
    </row>
    <row r="12" spans="1:8" ht="30" customHeight="1">
      <c r="A12" s="20" t="s">
        <v>74</v>
      </c>
      <c r="B12" s="3" t="s">
        <v>75</v>
      </c>
      <c r="C12" s="6" t="s">
        <v>84</v>
      </c>
      <c r="D12" s="10">
        <v>0.03</v>
      </c>
      <c r="E12" s="11">
        <f t="shared" ref="E12:E24" si="0">D12*$E$25</f>
        <v>0</v>
      </c>
      <c r="F12" s="17">
        <v>0.23</v>
      </c>
      <c r="G12" s="11">
        <f t="shared" ref="G12:G24" si="1">E12*F12</f>
        <v>0</v>
      </c>
      <c r="H12" s="11">
        <f t="shared" ref="H12" si="2">E12+G12</f>
        <v>0</v>
      </c>
    </row>
    <row r="13" spans="1:8" ht="30" customHeight="1">
      <c r="A13" s="20" t="s">
        <v>12</v>
      </c>
      <c r="B13" s="3" t="s">
        <v>94</v>
      </c>
      <c r="C13" s="6" t="s">
        <v>86</v>
      </c>
      <c r="D13" s="10">
        <v>7.0000000000000007E-2</v>
      </c>
      <c r="E13" s="11">
        <f t="shared" si="0"/>
        <v>0</v>
      </c>
      <c r="F13" s="17">
        <v>0.23</v>
      </c>
      <c r="G13" s="11">
        <f t="shared" si="1"/>
        <v>0</v>
      </c>
      <c r="H13" s="11">
        <f>E13+G13</f>
        <v>0</v>
      </c>
    </row>
    <row r="14" spans="1:8" ht="30" customHeight="1">
      <c r="A14" s="20" t="s">
        <v>93</v>
      </c>
      <c r="B14" s="3" t="s">
        <v>95</v>
      </c>
      <c r="C14" s="6" t="s">
        <v>86</v>
      </c>
      <c r="D14" s="10">
        <v>7.0000000000000007E-2</v>
      </c>
      <c r="E14" s="11">
        <f t="shared" si="0"/>
        <v>0</v>
      </c>
      <c r="F14" s="17">
        <v>0.23</v>
      </c>
      <c r="G14" s="11">
        <f t="shared" si="1"/>
        <v>0</v>
      </c>
      <c r="H14" s="11">
        <f t="shared" ref="H14:H25" si="3">E14+G14</f>
        <v>0</v>
      </c>
    </row>
    <row r="15" spans="1:8" ht="30" customHeight="1">
      <c r="A15" s="20" t="s">
        <v>82</v>
      </c>
      <c r="B15" s="3" t="s">
        <v>96</v>
      </c>
      <c r="C15" s="6" t="s">
        <v>86</v>
      </c>
      <c r="D15" s="10">
        <v>7.0000000000000007E-2</v>
      </c>
      <c r="E15" s="11">
        <f t="shared" si="0"/>
        <v>0</v>
      </c>
      <c r="F15" s="17">
        <v>0.23</v>
      </c>
      <c r="G15" s="11">
        <f t="shared" si="1"/>
        <v>0</v>
      </c>
      <c r="H15" s="11">
        <f t="shared" si="3"/>
        <v>0</v>
      </c>
    </row>
    <row r="16" spans="1:8" ht="30" customHeight="1">
      <c r="A16" s="20" t="s">
        <v>13</v>
      </c>
      <c r="B16" s="3" t="s">
        <v>76</v>
      </c>
      <c r="C16" s="6" t="s">
        <v>85</v>
      </c>
      <c r="D16" s="5">
        <v>0.05</v>
      </c>
      <c r="E16" s="11">
        <f t="shared" si="0"/>
        <v>0</v>
      </c>
      <c r="F16" s="17">
        <v>0.23</v>
      </c>
      <c r="G16" s="11">
        <f t="shared" si="1"/>
        <v>0</v>
      </c>
      <c r="H16" s="11">
        <f t="shared" si="3"/>
        <v>0</v>
      </c>
    </row>
    <row r="17" spans="1:8" ht="30" customHeight="1">
      <c r="A17" s="20" t="s">
        <v>100</v>
      </c>
      <c r="B17" s="3" t="s">
        <v>97</v>
      </c>
      <c r="C17" s="6" t="s">
        <v>88</v>
      </c>
      <c r="D17" s="5">
        <v>0.1</v>
      </c>
      <c r="E17" s="11">
        <f t="shared" si="0"/>
        <v>0</v>
      </c>
      <c r="F17" s="17">
        <v>0.23</v>
      </c>
      <c r="G17" s="11">
        <f t="shared" si="1"/>
        <v>0</v>
      </c>
      <c r="H17" s="11">
        <f t="shared" si="3"/>
        <v>0</v>
      </c>
    </row>
    <row r="18" spans="1:8" ht="30" customHeight="1">
      <c r="A18" s="20" t="s">
        <v>101</v>
      </c>
      <c r="B18" s="3" t="s">
        <v>98</v>
      </c>
      <c r="C18" s="6" t="s">
        <v>88</v>
      </c>
      <c r="D18" s="5">
        <v>0.1</v>
      </c>
      <c r="E18" s="11">
        <f t="shared" si="0"/>
        <v>0</v>
      </c>
      <c r="F18" s="17">
        <v>0.23</v>
      </c>
      <c r="G18" s="11">
        <f t="shared" si="1"/>
        <v>0</v>
      </c>
      <c r="H18" s="11">
        <f t="shared" si="3"/>
        <v>0</v>
      </c>
    </row>
    <row r="19" spans="1:8" ht="30" customHeight="1">
      <c r="A19" s="20" t="s">
        <v>102</v>
      </c>
      <c r="B19" s="3" t="s">
        <v>99</v>
      </c>
      <c r="C19" s="6" t="s">
        <v>88</v>
      </c>
      <c r="D19" s="5">
        <v>0.1</v>
      </c>
      <c r="E19" s="11">
        <f t="shared" si="0"/>
        <v>0</v>
      </c>
      <c r="F19" s="17">
        <v>0.23</v>
      </c>
      <c r="G19" s="11">
        <f t="shared" si="1"/>
        <v>0</v>
      </c>
      <c r="H19" s="11">
        <f t="shared" si="3"/>
        <v>0</v>
      </c>
    </row>
    <row r="20" spans="1:8" ht="30" customHeight="1">
      <c r="A20" s="20" t="s">
        <v>103</v>
      </c>
      <c r="B20" s="3" t="s">
        <v>78</v>
      </c>
      <c r="C20" s="6" t="s">
        <v>89</v>
      </c>
      <c r="D20" s="5">
        <v>0.03</v>
      </c>
      <c r="E20" s="11">
        <f t="shared" si="0"/>
        <v>0</v>
      </c>
      <c r="F20" s="17">
        <v>0.23</v>
      </c>
      <c r="G20" s="11">
        <f t="shared" si="1"/>
        <v>0</v>
      </c>
      <c r="H20" s="11">
        <f t="shared" si="3"/>
        <v>0</v>
      </c>
    </row>
    <row r="21" spans="1:8" ht="30" customHeight="1">
      <c r="A21" s="20" t="s">
        <v>104</v>
      </c>
      <c r="B21" s="3" t="s">
        <v>79</v>
      </c>
      <c r="C21" s="6" t="s">
        <v>90</v>
      </c>
      <c r="D21" s="5">
        <v>6.5000000000000002E-2</v>
      </c>
      <c r="E21" s="11">
        <f t="shared" si="0"/>
        <v>0</v>
      </c>
      <c r="F21" s="17">
        <v>0.23</v>
      </c>
      <c r="G21" s="11">
        <f t="shared" si="1"/>
        <v>0</v>
      </c>
      <c r="H21" s="11">
        <f t="shared" si="3"/>
        <v>0</v>
      </c>
    </row>
    <row r="22" spans="1:8" ht="30" customHeight="1">
      <c r="A22" s="20" t="s">
        <v>105</v>
      </c>
      <c r="B22" s="3" t="s">
        <v>80</v>
      </c>
      <c r="C22" s="6" t="s">
        <v>91</v>
      </c>
      <c r="D22" s="5">
        <v>4.4999999999999998E-2</v>
      </c>
      <c r="E22" s="11">
        <f t="shared" si="0"/>
        <v>0</v>
      </c>
      <c r="F22" s="17">
        <v>0.23</v>
      </c>
      <c r="G22" s="11">
        <f t="shared" si="1"/>
        <v>0</v>
      </c>
      <c r="H22" s="11">
        <f t="shared" si="3"/>
        <v>0</v>
      </c>
    </row>
    <row r="23" spans="1:8" ht="30" customHeight="1">
      <c r="A23" s="20" t="s">
        <v>106</v>
      </c>
      <c r="B23" s="3" t="s">
        <v>81</v>
      </c>
      <c r="C23" s="7" t="s">
        <v>92</v>
      </c>
      <c r="D23" s="5">
        <v>0.09</v>
      </c>
      <c r="E23" s="11">
        <f t="shared" si="0"/>
        <v>0</v>
      </c>
      <c r="F23" s="17">
        <v>0.23</v>
      </c>
      <c r="G23" s="11">
        <f t="shared" si="1"/>
        <v>0</v>
      </c>
      <c r="H23" s="11">
        <f t="shared" si="3"/>
        <v>0</v>
      </c>
    </row>
    <row r="24" spans="1:8" ht="26.25" thickBot="1">
      <c r="A24" s="20" t="s">
        <v>107</v>
      </c>
      <c r="B24" s="4" t="s">
        <v>32</v>
      </c>
      <c r="C24" s="7"/>
      <c r="D24" s="13">
        <v>0.1</v>
      </c>
      <c r="E24" s="11">
        <f t="shared" si="0"/>
        <v>0</v>
      </c>
      <c r="F24" s="17">
        <v>0.23</v>
      </c>
      <c r="G24" s="11">
        <f t="shared" si="1"/>
        <v>0</v>
      </c>
      <c r="H24" s="11">
        <f t="shared" si="3"/>
        <v>0</v>
      </c>
    </row>
    <row r="25" spans="1:8" ht="23.25" customHeight="1" thickBot="1">
      <c r="A25" s="66" t="s">
        <v>23</v>
      </c>
      <c r="B25" s="67"/>
      <c r="C25" s="67"/>
      <c r="D25" s="14">
        <f>SUM(D11:D24)</f>
        <v>0.99999999999999989</v>
      </c>
      <c r="E25" s="15"/>
      <c r="F25" s="17">
        <v>0.23</v>
      </c>
      <c r="G25" s="16">
        <f>SUM(G11:G24)</f>
        <v>0</v>
      </c>
      <c r="H25" s="11">
        <f t="shared" si="3"/>
        <v>0</v>
      </c>
    </row>
    <row r="27" spans="1:8">
      <c r="C27" s="8"/>
    </row>
    <row r="28" spans="1:8">
      <c r="C28" s="12" t="s">
        <v>24</v>
      </c>
      <c r="D28" s="34"/>
      <c r="E28" s="47"/>
    </row>
    <row r="29" spans="1:8" ht="39.6" customHeight="1">
      <c r="C29" s="48" t="s">
        <v>68</v>
      </c>
      <c r="D29" s="48"/>
    </row>
    <row r="30" spans="1:8">
      <c r="C30" s="48" t="s">
        <v>25</v>
      </c>
      <c r="D30" s="48"/>
    </row>
    <row r="31" spans="1:8" ht="39.6" customHeight="1">
      <c r="C31" s="49"/>
      <c r="D31" s="49"/>
    </row>
    <row r="32" spans="1:8" ht="54" customHeight="1">
      <c r="C32" s="48"/>
      <c r="D32" s="48"/>
    </row>
    <row r="34" spans="8:8">
      <c r="H34" s="1">
        <v>14999000</v>
      </c>
    </row>
  </sheetData>
  <mergeCells count="19">
    <mergeCell ref="A1:H3"/>
    <mergeCell ref="C4:H4"/>
    <mergeCell ref="C5:H5"/>
    <mergeCell ref="C6:H6"/>
    <mergeCell ref="A4:B4"/>
    <mergeCell ref="A5:B5"/>
    <mergeCell ref="E8:H8"/>
    <mergeCell ref="C7:H7"/>
    <mergeCell ref="A10:H10"/>
    <mergeCell ref="A25:C25"/>
    <mergeCell ref="A6:B6"/>
    <mergeCell ref="C29:D29"/>
    <mergeCell ref="C30:D30"/>
    <mergeCell ref="C31:D31"/>
    <mergeCell ref="C32:D32"/>
    <mergeCell ref="A7:B7"/>
    <mergeCell ref="A8:A9"/>
    <mergeCell ref="B8:B9"/>
    <mergeCell ref="C8:C9"/>
  </mergeCells>
  <phoneticPr fontId="16" type="noConversion"/>
  <pageMargins left="0.7" right="0.7" top="0.75" bottom="0.75" header="0.3" footer="0.3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3:N63"/>
  <sheetViews>
    <sheetView topLeftCell="A2" workbookViewId="0">
      <selection activeCell="N13" sqref="N13"/>
    </sheetView>
  </sheetViews>
  <sheetFormatPr defaultColWidth="9" defaultRowHeight="12.75"/>
  <cols>
    <col min="6" max="6" width="12" customWidth="1"/>
    <col min="7" max="7" width="15" style="33" customWidth="1"/>
    <col min="8" max="8" width="17" style="33" customWidth="1"/>
    <col min="9" max="9" width="9.33203125" style="22" bestFit="1" customWidth="1"/>
    <col min="10" max="10" width="66.6640625" style="22" bestFit="1" customWidth="1"/>
    <col min="11" max="11" width="11.83203125" style="33" customWidth="1"/>
    <col min="12" max="12" width="9.6640625" style="23" bestFit="1" customWidth="1"/>
    <col min="14" max="14" width="14" bestFit="1" customWidth="1"/>
  </cols>
  <sheetData>
    <row r="3" spans="6:14">
      <c r="G3" s="33" t="s">
        <v>54</v>
      </c>
      <c r="H3" s="33" t="s">
        <v>55</v>
      </c>
      <c r="I3" s="22" t="s">
        <v>40</v>
      </c>
    </row>
    <row r="4" spans="6:14">
      <c r="F4" t="s">
        <v>52</v>
      </c>
      <c r="G4" s="33">
        <v>372113.97</v>
      </c>
      <c r="H4" s="33">
        <f>G4/1.23</f>
        <v>302531.68292682926</v>
      </c>
      <c r="I4" s="35">
        <f>G4/G$9</f>
        <v>5.3012072102344591E-2</v>
      </c>
    </row>
    <row r="5" spans="6:14">
      <c r="F5" t="s">
        <v>35</v>
      </c>
      <c r="G5" s="33">
        <v>4187790.46</v>
      </c>
      <c r="H5" s="33">
        <f t="shared" ref="H5:H9" si="0">G5/1.23</f>
        <v>3404707.6910569104</v>
      </c>
      <c r="I5" s="23">
        <f>G5/G$9</f>
        <v>0.59660068611514594</v>
      </c>
    </row>
    <row r="6" spans="6:14">
      <c r="F6" t="s">
        <v>36</v>
      </c>
      <c r="G6" s="33">
        <v>1663681</v>
      </c>
      <c r="H6" s="33">
        <f t="shared" si="0"/>
        <v>1352586.1788617887</v>
      </c>
      <c r="I6" s="24">
        <f>G6/G$9</f>
        <v>0.23701119613246652</v>
      </c>
    </row>
    <row r="7" spans="6:14">
      <c r="F7" t="s">
        <v>37</v>
      </c>
      <c r="G7" s="33">
        <v>460947.59</v>
      </c>
      <c r="H7" s="33">
        <f t="shared" si="0"/>
        <v>374754.13821138215</v>
      </c>
      <c r="I7" s="23">
        <f>G7/G$9</f>
        <v>6.5667480520771565E-2</v>
      </c>
    </row>
    <row r="8" spans="6:14">
      <c r="F8" s="36" t="s">
        <v>38</v>
      </c>
      <c r="G8" s="37">
        <v>334886.43</v>
      </c>
      <c r="H8" s="37">
        <f t="shared" si="0"/>
        <v>272265.39024390245</v>
      </c>
      <c r="I8" s="38">
        <f>G8/G$9</f>
        <v>4.7708565129271484E-2</v>
      </c>
    </row>
    <row r="9" spans="6:14">
      <c r="F9" s="39" t="s">
        <v>53</v>
      </c>
      <c r="G9" s="40">
        <f>SUM(G4:G8)</f>
        <v>7019419.4499999993</v>
      </c>
      <c r="H9" s="40">
        <f t="shared" si="0"/>
        <v>5706845.0813008128</v>
      </c>
      <c r="I9" s="41">
        <f>SUM(I4:I8)</f>
        <v>1</v>
      </c>
    </row>
    <row r="11" spans="6:14">
      <c r="K11" s="33">
        <f>SUM(K12:K35)</f>
        <v>2203611.66</v>
      </c>
      <c r="L11" s="35">
        <f>SUM(L12:L26)</f>
        <v>0.19671045035757134</v>
      </c>
    </row>
    <row r="12" spans="6:14">
      <c r="J12" s="22" t="s">
        <v>39</v>
      </c>
      <c r="K12" s="33">
        <f>243874*0.9</f>
        <v>219486.6</v>
      </c>
      <c r="L12" s="23">
        <f>(K12/H$9)/$N$12</f>
        <v>3.1919855992722339E-2</v>
      </c>
      <c r="N12">
        <v>1.2049000000000001</v>
      </c>
    </row>
    <row r="13" spans="6:14">
      <c r="J13" s="22" t="s">
        <v>56</v>
      </c>
      <c r="K13" s="33">
        <f>243874*0.1</f>
        <v>24387.4</v>
      </c>
      <c r="L13" s="23">
        <f t="shared" ref="L13:L26" si="1">(K13/H$9)/$N$12</f>
        <v>3.5466506658580377E-3</v>
      </c>
    </row>
    <row r="14" spans="6:14">
      <c r="J14" s="22" t="s">
        <v>57</v>
      </c>
      <c r="K14" s="33">
        <v>30663</v>
      </c>
      <c r="L14" s="23">
        <f t="shared" si="1"/>
        <v>4.4593088794707509E-3</v>
      </c>
    </row>
    <row r="15" spans="6:14">
      <c r="J15" s="22" t="s">
        <v>41</v>
      </c>
      <c r="K15" s="33">
        <f>(72595+16592+92899-30000+3565)*66%</f>
        <v>102729.66</v>
      </c>
      <c r="L15" s="23">
        <f t="shared" si="1"/>
        <v>1.4939936895379164E-2</v>
      </c>
    </row>
    <row r="16" spans="6:14">
      <c r="J16" s="22" t="s">
        <v>47</v>
      </c>
      <c r="K16" s="33">
        <v>20000</v>
      </c>
      <c r="L16" s="23">
        <f t="shared" si="1"/>
        <v>2.9085926879110009E-3</v>
      </c>
    </row>
    <row r="17" spans="10:12">
      <c r="J17" s="22" t="s">
        <v>43</v>
      </c>
      <c r="K17" s="33">
        <f>(72595+16592+92899-30000+3565)*34%</f>
        <v>52921.340000000004</v>
      </c>
      <c r="L17" s="23">
        <f t="shared" si="1"/>
        <v>7.6963311279225994E-3</v>
      </c>
    </row>
    <row r="18" spans="10:12">
      <c r="J18" s="22" t="s">
        <v>47</v>
      </c>
      <c r="K18" s="33">
        <v>10000</v>
      </c>
      <c r="L18" s="23">
        <f t="shared" si="1"/>
        <v>1.4542963439555005E-3</v>
      </c>
    </row>
    <row r="19" spans="10:12">
      <c r="J19" s="22" t="s">
        <v>42</v>
      </c>
      <c r="K19" s="33">
        <v>21520</v>
      </c>
      <c r="L19" s="23">
        <f t="shared" si="1"/>
        <v>3.1296457321922369E-3</v>
      </c>
    </row>
    <row r="20" spans="10:12">
      <c r="J20" s="22" t="s">
        <v>44</v>
      </c>
      <c r="K20" s="33">
        <v>145890</v>
      </c>
      <c r="L20" s="23">
        <f t="shared" si="1"/>
        <v>2.1216729361966797E-2</v>
      </c>
    </row>
    <row r="21" spans="10:12">
      <c r="J21" s="22" t="s">
        <v>46</v>
      </c>
      <c r="K21" s="33">
        <f>204719*66%</f>
        <v>135114.54</v>
      </c>
      <c r="L21" s="23">
        <f t="shared" si="1"/>
        <v>1.9649658153722924E-2</v>
      </c>
    </row>
    <row r="22" spans="10:12">
      <c r="J22" s="22" t="s">
        <v>45</v>
      </c>
      <c r="K22" s="33">
        <f>204719*34%</f>
        <v>69604.460000000006</v>
      </c>
      <c r="L22" s="23">
        <f t="shared" si="1"/>
        <v>1.0122551170099688E-2</v>
      </c>
    </row>
    <row r="23" spans="10:12">
      <c r="J23" s="22" t="s">
        <v>48</v>
      </c>
      <c r="K23" s="33">
        <f>(520299-102573)*66%</f>
        <v>275699.16000000003</v>
      </c>
      <c r="L23" s="23">
        <f t="shared" si="1"/>
        <v>4.0094828041960261E-2</v>
      </c>
    </row>
    <row r="24" spans="10:12">
      <c r="J24" s="22" t="s">
        <v>49</v>
      </c>
      <c r="K24" s="33">
        <f>(520299-102573)*34%</f>
        <v>142026.84</v>
      </c>
      <c r="L24" s="23">
        <f t="shared" si="1"/>
        <v>2.0654911415555283E-2</v>
      </c>
    </row>
    <row r="25" spans="10:12">
      <c r="J25" s="22" t="s">
        <v>50</v>
      </c>
      <c r="K25" s="33">
        <f>102573-28875</f>
        <v>73698</v>
      </c>
      <c r="L25" s="23">
        <f t="shared" si="1"/>
        <v>1.0717873195683247E-2</v>
      </c>
    </row>
    <row r="26" spans="10:12">
      <c r="J26" s="22" t="s">
        <v>51</v>
      </c>
      <c r="K26" s="33">
        <v>28875</v>
      </c>
      <c r="L26" s="23">
        <f t="shared" si="1"/>
        <v>4.1992806931715077E-3</v>
      </c>
    </row>
    <row r="28" spans="10:12">
      <c r="J28" s="32" t="s">
        <v>58</v>
      </c>
      <c r="L28" s="35">
        <f>SUM(L29:L44)</f>
        <v>0.47674537677221762</v>
      </c>
    </row>
    <row r="29" spans="10:12">
      <c r="J29" s="27" t="s">
        <v>60</v>
      </c>
      <c r="K29" s="33">
        <v>68743.600000000006</v>
      </c>
      <c r="L29" s="23">
        <f t="shared" ref="L29:L44" si="2">(K29/H$9)/$N$12</f>
        <v>9.9973566150339359E-3</v>
      </c>
    </row>
    <row r="30" spans="10:12">
      <c r="J30" s="27" t="s">
        <v>62</v>
      </c>
      <c r="K30" s="33">
        <f>1240.31+4342.24+790.51+4127.36+228.51+1274.7+2532.22</f>
        <v>14535.849999999999</v>
      </c>
      <c r="L30" s="23">
        <f t="shared" si="2"/>
        <v>2.113943351128556E-3</v>
      </c>
    </row>
    <row r="31" spans="10:12">
      <c r="J31" s="27" t="s">
        <v>63</v>
      </c>
      <c r="K31" s="33">
        <f>6702.06+18640.62+5673.28+3819.46+2902.8+3102.56+3852.02+1020.65+1032.75+18527.51+13753.76+637.17+574.62+11368.49+1479.4+1255.05+14737+2572.13+900.56</f>
        <v>112551.88999999998</v>
      </c>
      <c r="L31" s="23">
        <f t="shared" si="2"/>
        <v>1.6368380213228163E-2</v>
      </c>
    </row>
    <row r="32" spans="10:12">
      <c r="J32" s="42" t="s">
        <v>27</v>
      </c>
      <c r="K32" s="45"/>
      <c r="L32" s="23">
        <f t="shared" si="2"/>
        <v>0</v>
      </c>
    </row>
    <row r="33" spans="10:14">
      <c r="J33" s="27" t="s">
        <v>64</v>
      </c>
      <c r="K33" s="33">
        <f>37227.93+9750.61+3681.8+6244.02+146333.56+8821.37+2208.29+1305.3+12707.61+4415.18+18673.91+146823.72+1501.08+402.54+966.24+654.88+223.28+72.09+114493.89+20643.8+3546.61</f>
        <v>540697.71000000008</v>
      </c>
      <c r="L33" s="23">
        <f t="shared" si="2"/>
        <v>7.8633470283811152E-2</v>
      </c>
    </row>
    <row r="34" spans="10:14">
      <c r="J34" s="42" t="s">
        <v>14</v>
      </c>
      <c r="K34" s="46"/>
      <c r="L34" s="23">
        <f t="shared" si="2"/>
        <v>0</v>
      </c>
    </row>
    <row r="35" spans="10:14">
      <c r="J35" s="27" t="s">
        <v>65</v>
      </c>
      <c r="K35" s="33">
        <f>15033.07+2744.49+28329.25+28931.7+7838.9+4324.41+460.23+4875.87+4750.62+11694.07+3138.24+2345.76</f>
        <v>114466.60999999999</v>
      </c>
      <c r="L35" s="23">
        <f t="shared" si="2"/>
        <v>1.6646837242798012E-2</v>
      </c>
    </row>
    <row r="36" spans="10:14">
      <c r="J36" s="27" t="s">
        <v>15</v>
      </c>
      <c r="K36" s="33">
        <f>(311935.66+28294.11+9670.87+81001.76+27209.62+42442.32+6886.27)*0.9</f>
        <v>456696.549</v>
      </c>
      <c r="L36" s="23">
        <f t="shared" si="2"/>
        <v>6.6417212150779406E-2</v>
      </c>
    </row>
    <row r="37" spans="10:14">
      <c r="J37" s="27" t="s">
        <v>66</v>
      </c>
      <c r="K37" s="33">
        <f>27417+25131.6+50659.7+84681.73+18553.02+1992.23+1348.63+47947.54+3674.25+54965.4+2668.84+1367.9+23723.13+12000+35808.5</f>
        <v>391939.47000000003</v>
      </c>
      <c r="L37" s="23">
        <f t="shared" si="2"/>
        <v>5.6999613827285668E-2</v>
      </c>
    </row>
    <row r="38" spans="10:14">
      <c r="J38" s="28" t="s">
        <v>16</v>
      </c>
      <c r="K38" s="33">
        <f>23043.4+11848.07+2588.29+5528.88+13047.78+10007.48+23977.65+21245.56+4017.25+1943.63+38849.69+8385.83+56146.8+171.84</f>
        <v>220802.15</v>
      </c>
      <c r="L38" s="23">
        <f t="shared" si="2"/>
        <v>3.2111175948251407E-2</v>
      </c>
    </row>
    <row r="39" spans="10:14">
      <c r="J39" s="28" t="s">
        <v>17</v>
      </c>
      <c r="K39" s="33">
        <f>1209.76+1109.43+20348.2+2948.97+2550.05+8637.19+19938.03+41771.15+59432.22+9187.99+37123.66+22956.33+24527.52+5246.7+1804.32</f>
        <v>258791.52</v>
      </c>
      <c r="L39" s="23">
        <f t="shared" si="2"/>
        <v>3.7635956138268679E-2</v>
      </c>
    </row>
    <row r="40" spans="10:14">
      <c r="J40" s="28" t="s">
        <v>18</v>
      </c>
      <c r="K40" s="33">
        <f>6327+1391.9+24915+N40*0.9</f>
        <v>283940.04499999993</v>
      </c>
      <c r="L40" s="23">
        <f t="shared" si="2"/>
        <v>4.1293296934606018E-2</v>
      </c>
      <c r="N40" s="43">
        <f>24335.55+24773.12+5946.39+2466.81+143065.28+11710.77+16838.63+10433.06+11166.93+11480.35+17012.16</f>
        <v>279229.04999999993</v>
      </c>
    </row>
    <row r="41" spans="10:14">
      <c r="J41" s="27" t="s">
        <v>19</v>
      </c>
      <c r="K41" s="33">
        <f>374754.14*0.9</f>
        <v>337278.72600000002</v>
      </c>
      <c r="L41" s="23">
        <f t="shared" si="2"/>
        <v>4.9050321811576904E-2</v>
      </c>
    </row>
    <row r="42" spans="10:14">
      <c r="J42" s="27" t="s">
        <v>20</v>
      </c>
      <c r="K42" s="33">
        <f>272265.39*0.9</f>
        <v>245038.85100000002</v>
      </c>
      <c r="L42" s="23">
        <f t="shared" si="2"/>
        <v>3.5635910513635669E-2</v>
      </c>
    </row>
    <row r="43" spans="10:14">
      <c r="J43" s="44" t="s">
        <v>21</v>
      </c>
      <c r="K43" s="46"/>
      <c r="L43" s="23">
        <f t="shared" si="2"/>
        <v>0</v>
      </c>
    </row>
    <row r="44" spans="10:14">
      <c r="J44" s="29" t="s">
        <v>22</v>
      </c>
      <c r="K44" s="33">
        <f>290878.66*0.8</f>
        <v>232702.92799999999</v>
      </c>
      <c r="L44" s="23">
        <f t="shared" si="2"/>
        <v>3.3841901741814007E-2</v>
      </c>
    </row>
    <row r="45" spans="10:14">
      <c r="J45" s="30"/>
    </row>
    <row r="46" spans="10:14">
      <c r="J46" s="32" t="s">
        <v>59</v>
      </c>
      <c r="L46" s="35">
        <f>SUM(L47:L59)</f>
        <v>0.11249714036959038</v>
      </c>
    </row>
    <row r="47" spans="10:14">
      <c r="J47" s="27" t="s">
        <v>28</v>
      </c>
      <c r="K47" s="33">
        <f>1304.9+36288.18</f>
        <v>37593.08</v>
      </c>
      <c r="L47" s="23">
        <f t="shared" ref="L47:L59" si="3">(K47/H$9)/$N$12</f>
        <v>5.4671478802026654E-3</v>
      </c>
    </row>
    <row r="48" spans="10:14">
      <c r="J48" s="27" t="s">
        <v>61</v>
      </c>
      <c r="K48" s="33">
        <v>45552.21</v>
      </c>
      <c r="L48" s="23">
        <f t="shared" si="3"/>
        <v>6.6246412462093182E-3</v>
      </c>
    </row>
    <row r="49" spans="10:12">
      <c r="J49" s="27" t="s">
        <v>29</v>
      </c>
      <c r="K49" s="33">
        <f>177.99+319.15+37.84+488.18+27.04+150.81+298.44+11.53+9000.22+503.64+50.77+45.79+925.18+15.75</f>
        <v>12052.33</v>
      </c>
      <c r="L49" s="23">
        <f t="shared" si="3"/>
        <v>1.7527659455145196E-3</v>
      </c>
    </row>
    <row r="50" spans="10:12">
      <c r="J50" s="27" t="s">
        <v>67</v>
      </c>
      <c r="K50" s="33">
        <f>678.22+420.14+144.18+24204.62+368.37+72.09+80.23+4976.34+12633.86+791.23</f>
        <v>44369.280000000006</v>
      </c>
      <c r="L50" s="23">
        <f t="shared" si="3"/>
        <v>6.4526081687937917E-3</v>
      </c>
    </row>
    <row r="51" spans="10:12">
      <c r="J51" s="27" t="s">
        <v>15</v>
      </c>
      <c r="K51" s="33">
        <f>(311935.66+28294.11+9670.87+81001.76+27209.62+42442.32+6886.27)*0.1</f>
        <v>50744.061000000002</v>
      </c>
      <c r="L51" s="23">
        <f t="shared" si="3"/>
        <v>7.3796902389754908E-3</v>
      </c>
    </row>
    <row r="52" spans="10:12">
      <c r="J52" s="27" t="s">
        <v>30</v>
      </c>
      <c r="K52" s="33">
        <f>5916.97+917.86+2296.33+878.43+1866.83+784.1+4332.73+11461.36+1010.77+4713.94+4946.74+3000+7540+19600</f>
        <v>69266.06</v>
      </c>
      <c r="L52" s="23">
        <f t="shared" si="3"/>
        <v>1.0073337781820233E-2</v>
      </c>
    </row>
    <row r="53" spans="10:12">
      <c r="J53" s="28" t="s">
        <v>16</v>
      </c>
      <c r="K53" s="33">
        <f>1379.08+4324.77+443.66+947.72+4545.09+4110.05+3641.74+566.09+322.91+8623.07+1644.08+12638.63+3365.96+1656.3+1276.47+526.37+692.31+2150.42</f>
        <v>52854.720000000001</v>
      </c>
      <c r="L53" s="23">
        <f t="shared" si="3"/>
        <v>7.6866426056791679E-3</v>
      </c>
    </row>
    <row r="54" spans="10:12">
      <c r="J54" s="28" t="s">
        <v>17</v>
      </c>
      <c r="K54" s="33">
        <f>11945.14+1731.15+1496.97+5837.83+18471.84+7646.19+1152.85+16130.58+9974.74+9219.21+1822.36</f>
        <v>85428.86</v>
      </c>
      <c r="L54" s="23">
        <f t="shared" si="3"/>
        <v>1.2423887876628631E-2</v>
      </c>
    </row>
    <row r="55" spans="10:12">
      <c r="J55" s="28" t="s">
        <v>18</v>
      </c>
      <c r="K55" s="33">
        <f>N40*0.1</f>
        <v>27922.904999999995</v>
      </c>
      <c r="L55" s="23">
        <f t="shared" si="3"/>
        <v>4.0608178654116759E-3</v>
      </c>
    </row>
    <row r="56" spans="10:12">
      <c r="J56" s="27" t="s">
        <v>19</v>
      </c>
      <c r="K56" s="33">
        <f>374754.14*0.1</f>
        <v>37475.414000000004</v>
      </c>
      <c r="L56" s="23">
        <f t="shared" si="3"/>
        <v>5.4500357568418789E-3</v>
      </c>
    </row>
    <row r="57" spans="10:12">
      <c r="J57" s="27" t="s">
        <v>20</v>
      </c>
      <c r="K57" s="33">
        <f>272265.39*0.1</f>
        <v>27226.539000000004</v>
      </c>
      <c r="L57" s="23">
        <f t="shared" si="3"/>
        <v>3.959545612626186E-3</v>
      </c>
    </row>
    <row r="58" spans="10:12">
      <c r="J58" s="27" t="s">
        <v>22</v>
      </c>
      <c r="K58" s="33">
        <f>290878.66*0.2</f>
        <v>58175.731999999996</v>
      </c>
      <c r="L58" s="23">
        <f t="shared" si="3"/>
        <v>8.4604754354535017E-3</v>
      </c>
    </row>
    <row r="59" spans="10:12">
      <c r="J59" s="31" t="s">
        <v>31</v>
      </c>
      <c r="K59" s="33">
        <f>47698.02+177191.11</f>
        <v>224889.12999999998</v>
      </c>
      <c r="L59" s="23">
        <f t="shared" si="3"/>
        <v>3.2705543955433326E-2</v>
      </c>
    </row>
    <row r="60" spans="10:12">
      <c r="J60" s="30"/>
    </row>
    <row r="61" spans="10:12">
      <c r="J61" s="30"/>
      <c r="K61" s="33">
        <f>SUM(K62:K63)</f>
        <v>302531.68</v>
      </c>
      <c r="L61" s="35">
        <f>SUM(L62:L63)</f>
        <v>4.399707161547154E-2</v>
      </c>
    </row>
    <row r="62" spans="10:12">
      <c r="J62" s="27" t="s">
        <v>33</v>
      </c>
      <c r="K62" s="33">
        <f>142512.62+6000</f>
        <v>148512.62</v>
      </c>
      <c r="L62" s="23">
        <f t="shared" ref="L62:L63" si="4">(K62/H$9)/$N$12</f>
        <v>2.1598136029725254E-2</v>
      </c>
    </row>
    <row r="63" spans="10:12">
      <c r="J63" s="21" t="s">
        <v>34</v>
      </c>
      <c r="K63" s="33">
        <v>154019.06</v>
      </c>
      <c r="L63" s="23">
        <f t="shared" si="4"/>
        <v>2.2398935585746287E-2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P121 tabela etapów </vt:lpstr>
      <vt:lpstr>Arkusz1</vt:lpstr>
      <vt:lpstr>'P121 tabela etapów '!_Hlk25567051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Beszterda</dc:creator>
  <cp:lastModifiedBy>Marzena Kaczmarek</cp:lastModifiedBy>
  <cp:lastPrinted>2019-08-14T11:29:23Z</cp:lastPrinted>
  <dcterms:created xsi:type="dcterms:W3CDTF">2019-05-07T11:47:57Z</dcterms:created>
  <dcterms:modified xsi:type="dcterms:W3CDTF">2020-06-15T11:45:10Z</dcterms:modified>
</cp:coreProperties>
</file>